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nhole Calculator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<sst xmlns="http://schemas.openxmlformats.org/spreadsheetml/2006/main" count="45" uniqueCount="41">
  <si>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CALCULS STÉNOPÉS – PINHOLE BEREKENINGEN – PINHOLE CALCULTATIONS</t>
  </si>
  <si>
    <t>Complétez seulement les cases vertes (lignes 5, 6, et 8 - col. B) – en mm.</t>
  </si>
  <si>
    <t>Temps d'exposition / sluitertijd / exposure time</t>
  </si>
  <si>
    <t>Vul enkel de groene vakjes in ( rijen 5, 6, en 8 - kol. B) – in mm.</t>
  </si>
  <si>
    <t xml:space="preserve">Posemètre / Lichtmeter /  Light meter </t>
  </si>
  <si>
    <t xml:space="preserve">Sténopé   / Pinhole </t>
  </si>
  <si>
    <t>Complete only the green cases ( rows 3-4-6 – column.  B) – in mm.</t>
  </si>
  <si>
    <t xml:space="preserve">  f/16 @ film ISO</t>
  </si>
  <si>
    <t>Calc.≠ Scharzschild (sec)</t>
  </si>
  <si>
    <t>idem – h :min :sec</t>
  </si>
  <si>
    <t>Format film : Hauteur  /  Fim Formaat : Hoogte  /  Film Format : Height</t>
  </si>
  <si>
    <t>1/1000s</t>
  </si>
  <si>
    <t>Format film : Largeur  /  Fim Formaat : Breedte  /  Film Format : Width</t>
  </si>
  <si>
    <t>1/500s</t>
  </si>
  <si>
    <t>Diagonale du film  /  Film diagonaal  /  Film diagonal</t>
  </si>
  <si>
    <t>1/250s</t>
  </si>
  <si>
    <t>Distance Focale  /  Brandpuntafstand  /  Focal Length</t>
  </si>
  <si>
    <t>1/125s</t>
  </si>
  <si>
    <t>Diamètre du Sténopé  /  Pinhole diameter</t>
  </si>
  <si>
    <t>1/60s</t>
  </si>
  <si>
    <t>Diaphragme  /  Diafragma  /  Aperture</t>
  </si>
  <si>
    <t>1/30s</t>
  </si>
  <si>
    <t>Coefficient exposition / Belichtingsfactor / Exposure factor (➜ f/16)</t>
  </si>
  <si>
    <t>1/15s</t>
  </si>
  <si>
    <t>Angle de vision / Beeldhoek / Angle of view (diagonal, diagonaal)</t>
  </si>
  <si>
    <t>1/8s</t>
  </si>
  <si>
    <t xml:space="preserve"> </t>
  </si>
  <si>
    <t>1/4s</t>
  </si>
  <si>
    <t>1/2s</t>
  </si>
  <si>
    <t>1s</t>
  </si>
  <si>
    <t>2s</t>
  </si>
  <si>
    <t>4s</t>
  </si>
  <si>
    <t>8s</t>
  </si>
  <si>
    <t>15s</t>
  </si>
  <si>
    <t>30s</t>
  </si>
  <si>
    <t>1min</t>
  </si>
  <si>
    <t>2min</t>
  </si>
  <si>
    <t>4min</t>
  </si>
  <si>
    <t>8min</t>
  </si>
  <si>
    <t>16min</t>
  </si>
  <si>
    <t>Adapted from: https://benmh.nl/pinhole-photograpy/     -  Ben Mossing Holsteijn  -  mail: info@benmh.nl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</si>
</sst>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€-80C];[RED]\-#,##0.00\ [$€-80C]"/>
    <numFmt numFmtId="166" formatCode="0%"/>
    <numFmt numFmtId="167" formatCode="#,##0.00\ ;&quot;  (&quot;#,##0.00\);&quot; - &quot;;@\ "/>
    <numFmt numFmtId="168" formatCode="#,##0\ ;&quot;  (&quot;#,##0\);&quot; - &quot;;@\ "/>
    <numFmt numFmtId="169" formatCode="&quot;FB &quot;#,##0.00\ ;&quot;FB (&quot;#,##0.00\);&quot;FB- &quot;;@\ "/>
    <numFmt numFmtId="170" formatCode="&quot;FB &quot;#,##0\ ;&quot;FB (&quot;#,##0\);&quot;FB- &quot;;@\ "/>
    <numFmt numFmtId="171" formatCode="@"/>
    <numFmt numFmtId="172" formatCode="0.0"/>
    <numFmt numFmtId="173" formatCode="0.000"/>
    <numFmt numFmtId="174" formatCode="0"/>
    <numFmt numFmtId="175" formatCode="HH:MM:SS"/>
  </numFmts>
  <fonts count="12">
    <font>
      <sz val="10"/>
      <name val="Arial"/>
      <family val="0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b/>
      <sz val="15"/>
      <color indexed="8"/>
      <name val="Arial"/>
      <family val="0"/>
    </font>
    <font>
      <b/>
      <sz val="11"/>
      <color indexed="8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FreeSans"/>
      <family val="2"/>
    </font>
    <font>
      <b/>
      <sz val="10"/>
      <color indexed="8"/>
      <name val="Arial"/>
      <family val="0"/>
    </font>
    <font>
      <b/>
      <sz val="10.5"/>
      <color indexed="8"/>
      <name val="Ubuntu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>
      <alignment vertical="center"/>
      <protection/>
    </xf>
    <xf numFmtId="165" fontId="1" fillId="0" borderId="0" applyBorder="0">
      <alignment vertical="center"/>
      <protection/>
    </xf>
    <xf numFmtId="164" fontId="2" fillId="0" borderId="0" applyBorder="0">
      <alignment horizontal="center" vertical="center"/>
      <protection/>
    </xf>
    <xf numFmtId="164" fontId="2" fillId="0" borderId="0" applyBorder="0">
      <alignment horizontal="center" vertical="center" textRotation="90"/>
      <protection/>
    </xf>
    <xf numFmtId="166" fontId="0" fillId="0" borderId="0" applyBorder="0">
      <alignment vertical="center"/>
      <protection/>
    </xf>
    <xf numFmtId="167" fontId="0" fillId="0" borderId="0" applyBorder="0">
      <alignment vertical="center"/>
      <protection/>
    </xf>
    <xf numFmtId="168" fontId="0" fillId="0" borderId="0" applyBorder="0">
      <alignment vertical="center"/>
      <protection/>
    </xf>
    <xf numFmtId="169" fontId="0" fillId="0" borderId="0" applyBorder="0">
      <alignment vertical="center"/>
      <protection/>
    </xf>
    <xf numFmtId="170" fontId="0" fillId="0" borderId="0" applyBorder="0">
      <alignment vertical="center"/>
      <protection/>
    </xf>
  </cellStyleXfs>
  <cellXfs count="52">
    <xf numFmtId="164" fontId="0" fillId="0" borderId="0" xfId="0" applyAlignment="1">
      <alignment vertical="center"/>
    </xf>
    <xf numFmtId="164" fontId="0" fillId="2" borderId="0" xfId="0" applyFill="1" applyAlignment="1">
      <alignment vertical="center"/>
    </xf>
    <xf numFmtId="164" fontId="0" fillId="2" borderId="0" xfId="0" applyFill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Fill="1" applyAlignment="1" applyProtection="1">
      <alignment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left" vertical="center" indent="1"/>
      <protection locked="0"/>
    </xf>
    <xf numFmtId="164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4" xfId="0" applyNumberFormat="1" applyFont="1" applyFill="1" applyBorder="1" applyAlignment="1" applyProtection="1">
      <alignment horizontal="center" vertical="center" indent="1"/>
      <protection locked="0"/>
    </xf>
    <xf numFmtId="164" fontId="6" fillId="3" borderId="5" xfId="0" applyNumberFormat="1" applyFont="1" applyFill="1" applyBorder="1" applyAlignment="1" applyProtection="1">
      <alignment horizontal="center" vertical="center" indent="1"/>
      <protection locked="0"/>
    </xf>
    <xf numFmtId="164" fontId="6" fillId="3" borderId="6" xfId="0" applyNumberFormat="1" applyFont="1" applyFill="1" applyBorder="1" applyAlignment="1" applyProtection="1">
      <alignment horizontal="center" vertical="center" indent="1"/>
      <protection locked="0"/>
    </xf>
    <xf numFmtId="164" fontId="4" fillId="3" borderId="5" xfId="0" applyNumberFormat="1" applyFont="1" applyFill="1" applyBorder="1" applyAlignment="1" applyProtection="1">
      <alignment horizontal="left" vertical="center" indent="1"/>
      <protection locked="0"/>
    </xf>
    <xf numFmtId="164" fontId="5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7" fillId="3" borderId="5" xfId="0" applyNumberFormat="1" applyFont="1" applyFill="1" applyBorder="1" applyAlignment="1" applyProtection="1">
      <alignment horizontal="center" vertical="center" indent="1"/>
      <protection locked="0"/>
    </xf>
    <xf numFmtId="164" fontId="7" fillId="3" borderId="6" xfId="0" applyNumberFormat="1" applyFont="1" applyFill="1" applyBorder="1" applyAlignment="1" applyProtection="1">
      <alignment horizontal="center" vertical="center" indent="1"/>
      <protection locked="0"/>
    </xf>
    <xf numFmtId="171" fontId="8" fillId="4" borderId="7" xfId="0" applyNumberFormat="1" applyFont="1" applyFill="1" applyBorder="1" applyAlignment="1" applyProtection="1">
      <alignment horizontal="left" vertical="center" indent="1"/>
      <protection locked="0"/>
    </xf>
    <xf numFmtId="164" fontId="6" fillId="5" borderId="8" xfId="0" applyNumberFormat="1" applyFont="1" applyFill="1" applyBorder="1" applyAlignment="1" applyProtection="1">
      <alignment horizontal="center" vertical="center"/>
      <protection locked="0"/>
    </xf>
    <xf numFmtId="171" fontId="6" fillId="0" borderId="3" xfId="0" applyNumberFormat="1" applyFont="1" applyBorder="1" applyAlignment="1" applyProtection="1">
      <alignment horizontal="center" vertical="center"/>
      <protection locked="0"/>
    </xf>
    <xf numFmtId="172" fontId="6" fillId="0" borderId="3" xfId="0" applyNumberFormat="1" applyFont="1" applyBorder="1" applyAlignment="1" applyProtection="1">
      <alignment horizontal="center" vertical="center"/>
      <protection hidden="1"/>
    </xf>
    <xf numFmtId="172" fontId="5" fillId="0" borderId="9" xfId="0" applyNumberFormat="1" applyFont="1" applyFill="1" applyBorder="1" applyAlignment="1" applyProtection="1">
      <alignment horizontal="left" vertical="center" indent="1"/>
      <protection hidden="1"/>
    </xf>
    <xf numFmtId="171" fontId="6" fillId="6" borderId="3" xfId="0" applyNumberFormat="1" applyFont="1" applyFill="1" applyBorder="1" applyAlignment="1" applyProtection="1">
      <alignment horizontal="center" vertical="center"/>
      <protection locked="0"/>
    </xf>
    <xf numFmtId="172" fontId="6" fillId="6" borderId="3" xfId="0" applyNumberFormat="1" applyFont="1" applyFill="1" applyBorder="1" applyAlignment="1" applyProtection="1">
      <alignment horizontal="center" vertical="center"/>
      <protection hidden="1"/>
    </xf>
    <xf numFmtId="172" fontId="8" fillId="7" borderId="3" xfId="0" applyNumberFormat="1" applyFont="1" applyFill="1" applyBorder="1" applyAlignment="1" applyProtection="1">
      <alignment horizontal="center" vertical="center"/>
      <protection hidden="1"/>
    </xf>
    <xf numFmtId="173" fontId="8" fillId="7" borderId="7" xfId="0" applyNumberFormat="1" applyFont="1" applyFill="1" applyBorder="1" applyAlignment="1" applyProtection="1">
      <alignment horizontal="center" vertical="center"/>
      <protection hidden="1"/>
    </xf>
    <xf numFmtId="174" fontId="8" fillId="7" borderId="7" xfId="0" applyNumberFormat="1" applyFont="1" applyFill="1" applyBorder="1" applyAlignment="1" applyProtection="1">
      <alignment horizontal="center" vertical="center"/>
      <protection hidden="1"/>
    </xf>
    <xf numFmtId="171" fontId="9" fillId="4" borderId="10" xfId="0" applyNumberFormat="1" applyFont="1" applyFill="1" applyBorder="1" applyAlignment="1" applyProtection="1">
      <alignment horizontal="left" vertical="center" indent="1"/>
      <protection locked="0"/>
    </xf>
    <xf numFmtId="172" fontId="8" fillId="7" borderId="7" xfId="0" applyNumberFormat="1" applyFont="1" applyFill="1" applyBorder="1" applyAlignment="1" applyProtection="1">
      <alignment horizontal="center" vertical="center"/>
      <protection hidden="1"/>
    </xf>
    <xf numFmtId="164" fontId="8" fillId="4" borderId="7" xfId="0" applyNumberFormat="1" applyFont="1" applyFill="1" applyBorder="1" applyAlignment="1" applyProtection="1">
      <alignment horizontal="left" vertical="center" indent="1"/>
      <protection locked="0"/>
    </xf>
    <xf numFmtId="171" fontId="10" fillId="0" borderId="3" xfId="0" applyNumberFormat="1" applyFont="1" applyFill="1" applyBorder="1" applyAlignment="1" applyProtection="1">
      <alignment horizontal="left"/>
      <protection locked="0"/>
    </xf>
    <xf numFmtId="174" fontId="10" fillId="0" borderId="3" xfId="0" applyNumberFormat="1" applyFont="1" applyFill="1" applyBorder="1" applyAlignment="1" applyProtection="1">
      <alignment horizontal="left"/>
      <protection locked="0"/>
    </xf>
    <xf numFmtId="174" fontId="6" fillId="0" borderId="3" xfId="0" applyNumberFormat="1" applyFont="1" applyBorder="1" applyAlignment="1" applyProtection="1">
      <alignment horizontal="center" vertical="center"/>
      <protection hidden="1"/>
    </xf>
    <xf numFmtId="171" fontId="10" fillId="6" borderId="3" xfId="0" applyNumberFormat="1" applyFont="1" applyFill="1" applyBorder="1" applyAlignment="1" applyProtection="1">
      <alignment horizontal="left"/>
      <protection locked="0"/>
    </xf>
    <xf numFmtId="164" fontId="10" fillId="6" borderId="3" xfId="0" applyNumberFormat="1" applyFont="1" applyFill="1" applyBorder="1" applyAlignment="1" applyProtection="1">
      <alignment horizontal="left"/>
      <protection locked="0"/>
    </xf>
    <xf numFmtId="174" fontId="6" fillId="6" borderId="3" xfId="0" applyNumberFormat="1" applyFont="1" applyFill="1" applyBorder="1" applyAlignment="1" applyProtection="1">
      <alignment horizontal="center" vertical="center"/>
      <protection hidden="1"/>
    </xf>
    <xf numFmtId="175" fontId="5" fillId="0" borderId="9" xfId="0" applyNumberFormat="1" applyFont="1" applyFill="1" applyBorder="1" applyAlignment="1" applyProtection="1">
      <alignment horizontal="left" vertical="center" indent="1"/>
      <protection hidden="1"/>
    </xf>
    <xf numFmtId="171" fontId="10" fillId="0" borderId="3" xfId="0" applyNumberFormat="1" applyFont="1" applyBorder="1" applyAlignment="1" applyProtection="1">
      <alignment horizontal="left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164" fontId="10" fillId="0" borderId="3" xfId="0" applyNumberFormat="1" applyFont="1" applyBorder="1" applyAlignment="1" applyProtection="1">
      <alignment/>
      <protection locked="0"/>
    </xf>
    <xf numFmtId="164" fontId="10" fillId="6" borderId="3" xfId="0" applyNumberFormat="1" applyFont="1" applyFill="1" applyBorder="1" applyAlignment="1" applyProtection="1">
      <alignment/>
      <protection locked="0"/>
    </xf>
    <xf numFmtId="164" fontId="10" fillId="0" borderId="3" xfId="0" applyNumberFormat="1" applyFont="1" applyFill="1" applyBorder="1" applyAlignment="1" applyProtection="1">
      <alignment horizontal="left"/>
      <protection locked="0"/>
    </xf>
    <xf numFmtId="164" fontId="10" fillId="0" borderId="3" xfId="0" applyNumberFormat="1" applyFont="1" applyFill="1" applyBorder="1" applyAlignment="1" applyProtection="1">
      <alignment/>
      <protection locked="0"/>
    </xf>
    <xf numFmtId="171" fontId="6" fillId="0" borderId="3" xfId="0" applyNumberFormat="1" applyFont="1" applyFill="1" applyBorder="1" applyAlignment="1" applyProtection="1">
      <alignment horizontal="center" vertical="center"/>
      <protection locked="0"/>
    </xf>
    <xf numFmtId="174" fontId="6" fillId="0" borderId="3" xfId="0" applyNumberFormat="1" applyFont="1" applyFill="1" applyBorder="1" applyAlignment="1" applyProtection="1">
      <alignment horizontal="center" vertical="center"/>
      <protection hidden="1"/>
    </xf>
    <xf numFmtId="174" fontId="6" fillId="8" borderId="3" xfId="0" applyNumberFormat="1" applyFont="1" applyFill="1" applyBorder="1" applyAlignment="1" applyProtection="1">
      <alignment horizontal="center" vertical="center"/>
      <protection hidden="1"/>
    </xf>
    <xf numFmtId="164" fontId="10" fillId="8" borderId="3" xfId="0" applyNumberFormat="1" applyFont="1" applyFill="1" applyBorder="1" applyAlignment="1" applyProtection="1">
      <alignment horizontal="left"/>
      <protection locked="0"/>
    </xf>
    <xf numFmtId="164" fontId="10" fillId="8" borderId="3" xfId="0" applyNumberFormat="1" applyFont="1" applyFill="1" applyBorder="1" applyAlignment="1" applyProtection="1">
      <alignment/>
      <protection locked="0"/>
    </xf>
    <xf numFmtId="171" fontId="6" fillId="8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left"/>
      <protection locked="0"/>
    </xf>
    <xf numFmtId="164" fontId="10" fillId="0" borderId="5" xfId="0" applyNumberFormat="1" applyFont="1" applyFill="1" applyBorder="1" applyAlignment="1" applyProtection="1">
      <alignment/>
      <protection locked="0"/>
    </xf>
    <xf numFmtId="171" fontId="6" fillId="0" borderId="5" xfId="0" applyNumberFormat="1" applyFont="1" applyFill="1" applyBorder="1" applyAlignment="1" applyProtection="1">
      <alignment horizontal="center" vertical="center"/>
      <protection locked="0"/>
    </xf>
    <xf numFmtId="174" fontId="6" fillId="0" borderId="5" xfId="0" applyNumberFormat="1" applyFont="1" applyFill="1" applyBorder="1" applyAlignment="1" applyProtection="1">
      <alignment horizontal="center" vertical="center"/>
      <protection hidden="1"/>
    </xf>
    <xf numFmtId="164" fontId="11" fillId="3" borderId="11" xfId="0" applyNumberFormat="1" applyFont="1" applyFill="1" applyBorder="1" applyAlignment="1" applyProtection="1">
      <alignment horizontal="center" vertical="center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  <cellStyle name="Percent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F1CB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enmh.n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0" zoomScaleNormal="90" zoomScaleSheetLayoutView="100" workbookViewId="0" topLeftCell="A1">
      <selection activeCell="F6" sqref="F6"/>
    </sheetView>
  </sheetViews>
  <sheetFormatPr defaultColWidth="9.140625" defaultRowHeight="12.75"/>
  <cols>
    <col min="1" max="1" width="15.28125" style="1" customWidth="1"/>
    <col min="2" max="2" width="66.421875" style="0" customWidth="1"/>
    <col min="3" max="3" width="13.8515625" style="0" customWidth="1"/>
    <col min="4" max="4" width="51.140625" style="0" customWidth="1"/>
    <col min="5" max="5" width="27.57421875" style="0" customWidth="1"/>
    <col min="6" max="6" width="19.8515625" style="0" customWidth="1"/>
    <col min="7" max="7" width="2.57421875" style="1" customWidth="1"/>
    <col min="8" max="8" width="62.8515625" style="1" customWidth="1"/>
    <col min="9" max="254" width="10.421875" style="0" customWidth="1"/>
    <col min="255" max="16384" width="11.57421875" style="0" customWidth="1"/>
  </cols>
  <sheetData>
    <row r="1" spans="1:8" ht="12.75" customHeight="1">
      <c r="A1" s="2"/>
      <c r="B1" s="3"/>
      <c r="C1" s="3"/>
      <c r="D1" s="3"/>
      <c r="E1" s="3"/>
      <c r="F1" s="3"/>
      <c r="G1" s="2"/>
      <c r="H1" s="4"/>
    </row>
    <row r="2" spans="1:8" ht="25.5" customHeight="1">
      <c r="A2" s="2"/>
      <c r="B2" s="5" t="s">
        <v>0</v>
      </c>
      <c r="C2" s="5"/>
      <c r="D2" s="5"/>
      <c r="E2" s="5"/>
      <c r="F2" s="5"/>
      <c r="G2" s="2"/>
      <c r="H2" s="2"/>
    </row>
    <row r="3" spans="1:8" ht="25.5" customHeight="1">
      <c r="A3" s="2"/>
      <c r="B3" s="6" t="s">
        <v>1</v>
      </c>
      <c r="C3" s="7"/>
      <c r="D3" s="8" t="s">
        <v>2</v>
      </c>
      <c r="E3" s="8"/>
      <c r="F3" s="8"/>
      <c r="G3" s="2"/>
      <c r="H3" s="2"/>
    </row>
    <row r="4" spans="1:8" ht="25.5" customHeight="1">
      <c r="A4" s="2"/>
      <c r="B4" s="6" t="s">
        <v>3</v>
      </c>
      <c r="C4" s="7"/>
      <c r="D4" s="9" t="s">
        <v>4</v>
      </c>
      <c r="E4" s="10" t="s">
        <v>5</v>
      </c>
      <c r="F4" s="10"/>
      <c r="G4" s="2"/>
      <c r="H4" s="2"/>
    </row>
    <row r="5" spans="1:8" ht="25.5" customHeight="1">
      <c r="A5" s="2"/>
      <c r="B5" s="11" t="s">
        <v>6</v>
      </c>
      <c r="C5" s="12"/>
      <c r="D5" s="9" t="s">
        <v>7</v>
      </c>
      <c r="E5" s="13" t="s">
        <v>8</v>
      </c>
      <c r="F5" s="14" t="s">
        <v>9</v>
      </c>
      <c r="G5" s="2"/>
      <c r="H5" s="2"/>
    </row>
    <row r="6" spans="1:8" ht="25.5" customHeight="1">
      <c r="A6" s="2"/>
      <c r="B6" s="15" t="s">
        <v>10</v>
      </c>
      <c r="C6" s="16">
        <v>130</v>
      </c>
      <c r="D6" s="17" t="s">
        <v>11</v>
      </c>
      <c r="E6" s="18">
        <f>$C$12*0.001</f>
        <v>0.196738856711155</v>
      </c>
      <c r="F6" s="19">
        <f aca="true" t="shared" si="0" ref="F6:F14">E6</f>
        <v>0.196738856711155</v>
      </c>
      <c r="G6" s="2"/>
      <c r="H6" s="2"/>
    </row>
    <row r="7" spans="1:8" ht="25.5" customHeight="1">
      <c r="A7" s="2"/>
      <c r="B7" s="15" t="s">
        <v>12</v>
      </c>
      <c r="C7" s="16">
        <v>180</v>
      </c>
      <c r="D7" s="20" t="s">
        <v>13</v>
      </c>
      <c r="E7" s="21">
        <f>$C$12*0.002</f>
        <v>0.39347771342231</v>
      </c>
      <c r="F7" s="19">
        <f t="shared" si="0"/>
        <v>0.39347771342231</v>
      </c>
      <c r="G7" s="2"/>
      <c r="H7" s="2"/>
    </row>
    <row r="8" spans="1:8" ht="25.5" customHeight="1">
      <c r="A8" s="2"/>
      <c r="B8" s="15" t="s">
        <v>14</v>
      </c>
      <c r="C8" s="22">
        <f>SQRT(((C6^2)+(C7^2)))</f>
        <v>222.03603311174518</v>
      </c>
      <c r="D8" s="17" t="s">
        <v>15</v>
      </c>
      <c r="E8" s="18">
        <f>$C$12*0.004</f>
        <v>0.78695542684462</v>
      </c>
      <c r="F8" s="19">
        <f t="shared" si="0"/>
        <v>0.78695542684462</v>
      </c>
      <c r="G8" s="2"/>
      <c r="H8" s="2"/>
    </row>
    <row r="9" spans="1:8" ht="25.5" customHeight="1">
      <c r="A9" s="2"/>
      <c r="B9" s="15" t="s">
        <v>16</v>
      </c>
      <c r="C9" s="16">
        <v>100</v>
      </c>
      <c r="D9" s="20" t="s">
        <v>17</v>
      </c>
      <c r="E9" s="21">
        <f>$C$12*0.008</f>
        <v>1.57391085368924</v>
      </c>
      <c r="F9" s="19">
        <f t="shared" si="0"/>
        <v>1.57391085368924</v>
      </c>
      <c r="G9" s="2"/>
      <c r="H9" s="2"/>
    </row>
    <row r="10" spans="1:8" ht="25.5" customHeight="1">
      <c r="A10" s="2"/>
      <c r="B10" s="15" t="s">
        <v>18</v>
      </c>
      <c r="C10" s="23">
        <f>1.9*SQRT(0.00055*C9)</f>
        <v>0.44558949718322605</v>
      </c>
      <c r="D10" s="17" t="s">
        <v>19</v>
      </c>
      <c r="E10" s="18">
        <f>$C$12*0.016</f>
        <v>3.14782170737848</v>
      </c>
      <c r="F10" s="19">
        <f t="shared" si="0"/>
        <v>3.14782170737848</v>
      </c>
      <c r="G10" s="2"/>
      <c r="H10" s="2"/>
    </row>
    <row r="11" spans="1:8" ht="25.5" customHeight="1">
      <c r="A11" s="2"/>
      <c r="B11" s="15" t="s">
        <v>20</v>
      </c>
      <c r="C11" s="24">
        <f>C9/C10</f>
        <v>224.421806690116</v>
      </c>
      <c r="D11" s="20" t="s">
        <v>21</v>
      </c>
      <c r="E11" s="21">
        <f>$C$12*0.033</f>
        <v>6.49238227146812</v>
      </c>
      <c r="F11" s="19">
        <f t="shared" si="0"/>
        <v>6.49238227146812</v>
      </c>
      <c r="G11" s="2"/>
      <c r="H11" s="2"/>
    </row>
    <row r="12" spans="1:8" ht="25.5" customHeight="1">
      <c r="A12" s="2"/>
      <c r="B12" s="25" t="s">
        <v>22</v>
      </c>
      <c r="C12" s="26">
        <f>2^(LOG(C11,SQRT(2))-8)</f>
        <v>196.738856711155</v>
      </c>
      <c r="D12" s="17" t="s">
        <v>23</v>
      </c>
      <c r="E12" s="18">
        <f>$C$12*0.067</f>
        <v>13.1815033996474</v>
      </c>
      <c r="F12" s="19">
        <f t="shared" si="0"/>
        <v>13.1815033996474</v>
      </c>
      <c r="G12" s="2"/>
      <c r="H12" s="2"/>
    </row>
    <row r="13" spans="1:8" ht="25.5" customHeight="1">
      <c r="A13" s="2"/>
      <c r="B13" s="27" t="s">
        <v>24</v>
      </c>
      <c r="C13" s="23">
        <f>2*DEGREES(ATAN(((C8/2)/(C9))))</f>
        <v>95.97781279874995</v>
      </c>
      <c r="D13" s="20" t="s">
        <v>25</v>
      </c>
      <c r="E13" s="21">
        <f>$C$12*0.125</f>
        <v>24.5923570888944</v>
      </c>
      <c r="F13" s="19">
        <f t="shared" si="0"/>
        <v>24.5923570888944</v>
      </c>
      <c r="G13" s="2"/>
      <c r="H13" s="2"/>
    </row>
    <row r="14" spans="1:8" ht="25.5" customHeight="1">
      <c r="A14" s="2"/>
      <c r="B14" s="28" t="s">
        <v>26</v>
      </c>
      <c r="C14" s="29"/>
      <c r="D14" s="17" t="s">
        <v>27</v>
      </c>
      <c r="E14" s="30">
        <f>$C$12*0.25</f>
        <v>49.1847141777888</v>
      </c>
      <c r="F14" s="19">
        <f t="shared" si="0"/>
        <v>49.1847141777888</v>
      </c>
      <c r="G14" s="2"/>
      <c r="H14" s="2"/>
    </row>
    <row r="15" spans="1:8" ht="25.5" customHeight="1">
      <c r="A15" s="2"/>
      <c r="B15" s="31" t="s">
        <v>26</v>
      </c>
      <c r="C15" s="32" t="s">
        <v>26</v>
      </c>
      <c r="D15" s="20" t="s">
        <v>28</v>
      </c>
      <c r="E15" s="33">
        <f>$C$12*0.5</f>
        <v>98.3694283555775</v>
      </c>
      <c r="F15" s="34">
        <f aca="true" t="shared" si="1" ref="F15:F26">E15/86400</f>
        <v>0.0011385350504166667</v>
      </c>
      <c r="G15" s="2"/>
      <c r="H15" s="2"/>
    </row>
    <row r="16" spans="1:8" ht="25.5" customHeight="1">
      <c r="A16" s="2"/>
      <c r="B16" s="35"/>
      <c r="C16" s="36"/>
      <c r="D16" s="17" t="s">
        <v>29</v>
      </c>
      <c r="E16" s="30">
        <f>$C$12*1</f>
        <v>196.738856711155</v>
      </c>
      <c r="F16" s="34">
        <f t="shared" si="1"/>
        <v>0.0022770701008217593</v>
      </c>
      <c r="G16" s="2"/>
      <c r="H16" s="2"/>
    </row>
    <row r="17" spans="1:8" ht="25.5" customHeight="1">
      <c r="A17" s="2"/>
      <c r="B17" s="31"/>
      <c r="C17" s="32"/>
      <c r="D17" s="20" t="s">
        <v>30</v>
      </c>
      <c r="E17" s="33">
        <f>$C$12*2</f>
        <v>393.47771342231</v>
      </c>
      <c r="F17" s="34">
        <f t="shared" si="1"/>
        <v>0.004554140201643519</v>
      </c>
      <c r="G17" s="2"/>
      <c r="H17" s="2"/>
    </row>
    <row r="18" spans="1:8" ht="25.5" customHeight="1">
      <c r="A18" s="2"/>
      <c r="B18" s="36"/>
      <c r="C18" s="37"/>
      <c r="D18" s="17" t="s">
        <v>31</v>
      </c>
      <c r="E18" s="30">
        <f>$C$12*4</f>
        <v>786.95542684462</v>
      </c>
      <c r="F18" s="34">
        <f t="shared" si="1"/>
        <v>0.009108280403298611</v>
      </c>
      <c r="G18" s="2"/>
      <c r="H18" s="2"/>
    </row>
    <row r="19" spans="1:8" ht="25.5" customHeight="1">
      <c r="A19" s="2"/>
      <c r="B19" s="32"/>
      <c r="C19" s="38"/>
      <c r="D19" s="20" t="s">
        <v>32</v>
      </c>
      <c r="E19" s="33">
        <f>$C$12*8</f>
        <v>1573.91085368924</v>
      </c>
      <c r="F19" s="34">
        <f t="shared" si="1"/>
        <v>0.01821656080658565</v>
      </c>
      <c r="G19" s="2"/>
      <c r="H19" s="2"/>
    </row>
    <row r="20" spans="1:8" ht="25.5" customHeight="1">
      <c r="A20" s="2"/>
      <c r="B20" s="36"/>
      <c r="C20" s="37"/>
      <c r="D20" s="17" t="s">
        <v>33</v>
      </c>
      <c r="E20" s="30">
        <f>$C$12*15</f>
        <v>2951.08285066732</v>
      </c>
      <c r="F20" s="34">
        <f t="shared" si="1"/>
        <v>0.03415605151234954</v>
      </c>
      <c r="G20" s="2"/>
      <c r="H20" s="2"/>
    </row>
    <row r="21" spans="1:8" ht="25.5" customHeight="1">
      <c r="A21" s="2"/>
      <c r="B21" s="32"/>
      <c r="C21" s="38"/>
      <c r="D21" s="20" t="s">
        <v>34</v>
      </c>
      <c r="E21" s="33">
        <f>$C$12*30</f>
        <v>5902.16570133465</v>
      </c>
      <c r="F21" s="34">
        <f t="shared" si="1"/>
        <v>0.06831210302471065</v>
      </c>
      <c r="G21" s="2"/>
      <c r="H21" s="2"/>
    </row>
    <row r="22" spans="1:8" ht="25.5" customHeight="1">
      <c r="A22" s="2"/>
      <c r="B22" s="39"/>
      <c r="C22" s="40"/>
      <c r="D22" s="41" t="s">
        <v>35</v>
      </c>
      <c r="E22" s="42">
        <f>$C$12*60</f>
        <v>11804.3314026693</v>
      </c>
      <c r="F22" s="34">
        <f t="shared" si="1"/>
        <v>0.13662420604940972</v>
      </c>
      <c r="G22" s="2"/>
      <c r="H22" s="2"/>
    </row>
    <row r="23" spans="1:8" ht="25.5" customHeight="1">
      <c r="A23" s="2"/>
      <c r="B23" s="32"/>
      <c r="C23" s="38"/>
      <c r="D23" s="20" t="s">
        <v>36</v>
      </c>
      <c r="E23" s="43">
        <f>$C$12*120</f>
        <v>23608.6628053386</v>
      </c>
      <c r="F23" s="34">
        <f t="shared" si="1"/>
        <v>0.273248412098831</v>
      </c>
      <c r="G23" s="2"/>
      <c r="H23" s="2"/>
    </row>
    <row r="24" spans="1:8" ht="25.5" customHeight="1">
      <c r="A24" s="2"/>
      <c r="B24" s="39"/>
      <c r="C24" s="40"/>
      <c r="D24" s="41" t="s">
        <v>37</v>
      </c>
      <c r="E24" s="42">
        <f>$C$12*240</f>
        <v>47217.3256106772</v>
      </c>
      <c r="F24" s="34">
        <f t="shared" si="1"/>
        <v>0.5464968241976504</v>
      </c>
      <c r="G24" s="2"/>
      <c r="H24" s="2"/>
    </row>
    <row r="25" spans="1:8" ht="25.5" customHeight="1">
      <c r="A25" s="2"/>
      <c r="B25" s="44" t="s">
        <v>26</v>
      </c>
      <c r="C25" s="45"/>
      <c r="D25" s="46" t="s">
        <v>38</v>
      </c>
      <c r="E25" s="43">
        <f>$C$12*480</f>
        <v>94434.6512213544</v>
      </c>
      <c r="F25" s="34">
        <f t="shared" si="1"/>
        <v>1.0929936483953009</v>
      </c>
      <c r="G25" s="2"/>
      <c r="H25" s="2"/>
    </row>
    <row r="26" spans="1:8" ht="25.5" customHeight="1">
      <c r="A26" s="2"/>
      <c r="B26" s="47" t="s">
        <v>26</v>
      </c>
      <c r="C26" s="48"/>
      <c r="D26" s="49" t="s">
        <v>39</v>
      </c>
      <c r="E26" s="50">
        <f>$C$12*960</f>
        <v>188869.302442709</v>
      </c>
      <c r="F26" s="34">
        <f t="shared" si="1"/>
        <v>2.1859872967906133</v>
      </c>
      <c r="G26" s="2"/>
      <c r="H26" s="2"/>
    </row>
    <row r="27" spans="1:8" ht="25.5" customHeight="1">
      <c r="A27" s="2"/>
      <c r="B27" s="51" t="s">
        <v>40</v>
      </c>
      <c r="C27" s="51"/>
      <c r="D27" s="51"/>
      <c r="E27" s="51"/>
      <c r="F27" s="51"/>
      <c r="G27" s="2"/>
      <c r="H27" s="2"/>
    </row>
    <row r="28" ht="198" customHeight="1"/>
  </sheetData>
  <sheetProtection password="C59F" sheet="1"/>
  <mergeCells count="8">
    <mergeCell ref="B1:F1"/>
    <mergeCell ref="G1:G27"/>
    <mergeCell ref="A2:A27"/>
    <mergeCell ref="B2:F2"/>
    <mergeCell ref="H2:H27"/>
    <mergeCell ref="D3:F3"/>
    <mergeCell ref="E4:F4"/>
    <mergeCell ref="B27:F27"/>
  </mergeCells>
  <hyperlinks>
    <hyperlink ref="B27" r:id="rId1" display="info@benmh.nl"/>
  </hyperlinks>
  <printOptions/>
  <pageMargins left="0.75" right="0.75" top="0.5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2023-03-12T11:12:12Z</dcterms:modified>
  <cp:category/>
  <cp:version/>
  <cp:contentType/>
  <cp:contentStatus/>
  <cp:revision>20</cp:revision>
</cp:coreProperties>
</file>